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.Piontek\Documents\Andersa\"/>
    </mc:Choice>
  </mc:AlternateContent>
  <bookViews>
    <workbookView xWindow="0" yWindow="0" windowWidth="23040" windowHeight="9384"/>
  </bookViews>
  <sheets>
    <sheet name="ZZK" sheetId="2" r:id="rId1"/>
    <sheet name="Arkusz1" sheetId="4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K28" i="2" l="1"/>
  <c r="L6" i="2"/>
  <c r="K22" i="2" l="1"/>
  <c r="J22" i="2"/>
  <c r="H21" i="2"/>
  <c r="K21" i="2"/>
  <c r="J21" i="2"/>
  <c r="H24" i="2"/>
  <c r="K23" i="2"/>
  <c r="H22" i="2"/>
  <c r="H20" i="2"/>
  <c r="K17" i="2"/>
  <c r="G17" i="2"/>
  <c r="H17" i="2"/>
  <c r="J17" i="2"/>
  <c r="I16" i="2"/>
  <c r="I17" i="2"/>
  <c r="J16" i="2"/>
  <c r="K16" i="2"/>
  <c r="H16" i="2"/>
  <c r="G16" i="2"/>
  <c r="G12" i="2"/>
  <c r="M12" i="2"/>
  <c r="J12" i="2"/>
  <c r="K12" i="2"/>
  <c r="H12" i="2"/>
  <c r="I12" i="2"/>
  <c r="G11" i="2"/>
  <c r="M11" i="2"/>
  <c r="J11" i="2"/>
  <c r="H11" i="2"/>
  <c r="K11" i="2"/>
  <c r="I11" i="2"/>
  <c r="G10" i="2"/>
  <c r="K10" i="2"/>
  <c r="J10" i="2"/>
  <c r="I10" i="2"/>
  <c r="H10" i="2"/>
  <c r="K9" i="2"/>
  <c r="G9" i="2"/>
  <c r="H9" i="2"/>
  <c r="I9" i="2"/>
  <c r="J9" i="2"/>
  <c r="M17" i="2"/>
  <c r="M15" i="2"/>
  <c r="M14" i="2"/>
  <c r="M10" i="2"/>
  <c r="J5" i="2"/>
  <c r="I5" i="2"/>
  <c r="I18" i="2" s="1"/>
  <c r="K8" i="2"/>
  <c r="L5" i="2"/>
  <c r="L7" i="2"/>
  <c r="M7" i="2" s="1"/>
  <c r="M6" i="2"/>
  <c r="H6" i="2"/>
  <c r="H5" i="2"/>
  <c r="H18" i="2" s="1"/>
  <c r="E17" i="2"/>
  <c r="E15" i="2"/>
  <c r="E14" i="2"/>
  <c r="G15" i="2"/>
  <c r="G14" i="2"/>
  <c r="G8" i="2"/>
  <c r="M8" i="2" s="1"/>
  <c r="G7" i="2"/>
  <c r="G6" i="2"/>
  <c r="L19" i="2" l="1"/>
  <c r="L25" i="2" s="1"/>
  <c r="M16" i="2"/>
  <c r="J18" i="2"/>
  <c r="J19" i="2" s="1"/>
  <c r="J25" i="2" s="1"/>
  <c r="M9" i="2"/>
  <c r="G5" i="2"/>
  <c r="G18" i="2" s="1"/>
  <c r="H19" i="2" s="1"/>
  <c r="H25" i="2" s="1"/>
  <c r="K5" i="2"/>
  <c r="E12" i="2"/>
  <c r="E11" i="2"/>
  <c r="E10" i="2"/>
  <c r="E9" i="2"/>
  <c r="E6" i="2"/>
  <c r="M5" i="2" l="1"/>
  <c r="M19" i="2"/>
  <c r="K18" i="2"/>
  <c r="K19" i="2" s="1"/>
  <c r="K25" i="2" s="1"/>
  <c r="F9" i="2"/>
  <c r="M25" i="2" l="1"/>
  <c r="F5" i="2"/>
  <c r="F7" i="2" l="1"/>
  <c r="F8" i="2"/>
  <c r="F6" i="2"/>
  <c r="F10" i="2"/>
  <c r="F11" i="2"/>
  <c r="F12" i="2"/>
  <c r="F4" i="2" l="1"/>
  <c r="F18" i="2" s="1"/>
  <c r="E16" i="2" l="1"/>
  <c r="F13" i="2"/>
  <c r="F25" i="2" s="1"/>
  <c r="L27" i="2" l="1"/>
  <c r="H27" i="2"/>
  <c r="J27" i="2"/>
  <c r="K27" i="2"/>
  <c r="M27" i="2" l="1"/>
</calcChain>
</file>

<file path=xl/sharedStrings.xml><?xml version="1.0" encoding="utf-8"?>
<sst xmlns="http://schemas.openxmlformats.org/spreadsheetml/2006/main" count="76" uniqueCount="65">
  <si>
    <t>L.p.</t>
  </si>
  <si>
    <t xml:space="preserve">Wyszczególnienie robót </t>
  </si>
  <si>
    <t xml:space="preserve">Jednostka </t>
  </si>
  <si>
    <t>Ilość</t>
  </si>
  <si>
    <t>Wartość netto</t>
  </si>
  <si>
    <t>Infrastruktura drogowa</t>
  </si>
  <si>
    <t>km</t>
  </si>
  <si>
    <t>Infrastruktura energetyczna</t>
  </si>
  <si>
    <t>Oświetlenie dróg</t>
  </si>
  <si>
    <t>Sieć wodociągowa</t>
  </si>
  <si>
    <t>Sieć gazowa</t>
  </si>
  <si>
    <t>Kanalizacja deszczowa</t>
  </si>
  <si>
    <t>Kanalizacja sanitarna</t>
  </si>
  <si>
    <t>Koszt wykonania infrastruktury technicznej</t>
  </si>
  <si>
    <t xml:space="preserve">Chodniki </t>
  </si>
  <si>
    <t xml:space="preserve"> Ścieżki rowerowe </t>
  </si>
  <si>
    <r>
      <t>m</t>
    </r>
    <r>
      <rPr>
        <strike/>
        <sz val="11"/>
        <color theme="1"/>
        <rFont val="Arial"/>
        <family val="2"/>
        <charset val="238"/>
      </rPr>
      <t>2</t>
    </r>
  </si>
  <si>
    <t>1.</t>
  </si>
  <si>
    <t>1.1</t>
  </si>
  <si>
    <t>1.2</t>
  </si>
  <si>
    <t>1.3</t>
  </si>
  <si>
    <t>1.4</t>
  </si>
  <si>
    <t>Ciagi pieszo-rowerowe</t>
  </si>
  <si>
    <t>2.</t>
  </si>
  <si>
    <t>3.</t>
  </si>
  <si>
    <t>4.</t>
  </si>
  <si>
    <t>5.</t>
  </si>
  <si>
    <t>6.</t>
  </si>
  <si>
    <t>Kanalizacja teletechniczna</t>
  </si>
  <si>
    <t>Przebudowa linii napowietrznej 15 kV relacji GPZ Toruń Południe - Letnia 3</t>
  </si>
  <si>
    <t>m</t>
  </si>
  <si>
    <t>Przebudowa linii napowietrznej 15 kV relacji GPZ Toruń Południe - Letnia 5</t>
  </si>
  <si>
    <t>6.1</t>
  </si>
  <si>
    <t>6.2</t>
  </si>
  <si>
    <t>6.3</t>
  </si>
  <si>
    <t>6.4</t>
  </si>
  <si>
    <t xml:space="preserve">Droga  o nawierzchni asfaltobetonowej przystosowana do ruchu kategorii KR 4 </t>
  </si>
  <si>
    <t>7.</t>
  </si>
  <si>
    <t>projekt, PFU/Koncepcja</t>
  </si>
  <si>
    <t>8.</t>
  </si>
  <si>
    <t>niwelacja i rekultywacja terenu</t>
  </si>
  <si>
    <t>9.</t>
  </si>
  <si>
    <t>likwidacja placów i dróg poligonowych</t>
  </si>
  <si>
    <t>10.</t>
  </si>
  <si>
    <t>nasadzenia zieleni</t>
  </si>
  <si>
    <t>11.</t>
  </si>
  <si>
    <t>Badania geologiczne i saperskie</t>
  </si>
  <si>
    <t xml:space="preserve"> </t>
  </si>
  <si>
    <t>ogółem nakłady budowy infrastruktury</t>
  </si>
  <si>
    <t>I etap odcinek I-V</t>
  </si>
  <si>
    <t>I etap odcinek A-III</t>
  </si>
  <si>
    <t>razem etapy</t>
  </si>
  <si>
    <t>II etap DW-1a</t>
  </si>
  <si>
    <t>II etap DW-1b</t>
  </si>
  <si>
    <t>III etap DW</t>
  </si>
  <si>
    <t>IV etap odcinek V-Andersa</t>
  </si>
  <si>
    <t>dł. odcinka 868,89/805/715/760/655/800</t>
  </si>
  <si>
    <t>dł. odcinka 322,60/310/310/510/435/285/300</t>
  </si>
  <si>
    <t>dł. odcinka 255/260/200/260/170/250</t>
  </si>
  <si>
    <t>dł. odcinka 337/315/345/500/545/300</t>
  </si>
  <si>
    <t>dł. odcinka drogi 615,deszczówki 510/535/430/610/500/610</t>
  </si>
  <si>
    <t>dł. Odcinka 311/270</t>
  </si>
  <si>
    <t>ZBIORCZE ZESTAWIENIE KOSZTÓW         Etap IV częściowa realizacja budowy drogi odcinek V - Andersa                                                                                                                                                                                                                                       Rozbudowa TPT - budowa infrastruktury na nieruchomości gruntowej położonej przy ul. Andersa 93 w Toruniu</t>
  </si>
  <si>
    <t>Wartość netto zł/jedn.</t>
  </si>
  <si>
    <t>wartość III etapów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</si>
</sst>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trike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4" fontId="6" fillId="2" borderId="7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4" fontId="5" fillId="0" borderId="5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4" fontId="5" fillId="0" borderId="6" xfId="0" applyNumberFormat="1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" fontId="1" fillId="3" borderId="1" xfId="0" applyNumberFormat="1" applyFont="1" applyFill="1" applyBorder="1" applyAlignment="1">
      <alignment vertical="center" wrapText="1"/>
    </xf>
    <xf numFmtId="4" fontId="6" fillId="3" borderId="7" xfId="0" applyNumberFormat="1" applyFont="1" applyFill="1" applyBorder="1" applyAlignment="1">
      <alignment vertical="center"/>
    </xf>
    <xf numFmtId="0" fontId="1" fillId="0" borderId="8" xfId="0" applyFont="1" applyFill="1" applyBorder="1" applyAlignment="1">
      <alignment horizontal="center" vertical="center"/>
    </xf>
    <xf numFmtId="4" fontId="1" fillId="3" borderId="5" xfId="0" applyNumberFormat="1" applyFont="1" applyFill="1" applyBorder="1" applyAlignment="1">
      <alignment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4" fontId="1" fillId="3" borderId="17" xfId="0" applyNumberFormat="1" applyFont="1" applyFill="1" applyBorder="1" applyAlignment="1">
      <alignment vertical="center" wrapText="1"/>
    </xf>
    <xf numFmtId="4" fontId="8" fillId="2" borderId="18" xfId="0" applyNumberFormat="1" applyFont="1" applyFill="1" applyBorder="1" applyAlignment="1">
      <alignment vertical="center" wrapText="1"/>
    </xf>
    <xf numFmtId="4" fontId="5" fillId="3" borderId="5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4" fontId="10" fillId="0" borderId="1" xfId="0" applyNumberFormat="1" applyFont="1" applyBorder="1" applyAlignment="1">
      <alignment vertical="center" wrapText="1"/>
    </xf>
    <xf numFmtId="4" fontId="11" fillId="0" borderId="1" xfId="0" applyNumberFormat="1" applyFont="1" applyBorder="1" applyAlignment="1">
      <alignment vertical="center" wrapText="1"/>
    </xf>
    <xf numFmtId="4" fontId="12" fillId="3" borderId="5" xfId="0" applyNumberFormat="1" applyFont="1" applyFill="1" applyBorder="1" applyAlignment="1">
      <alignment vertical="center" wrapText="1"/>
    </xf>
    <xf numFmtId="4" fontId="12" fillId="3" borderId="7" xfId="0" applyNumberFormat="1" applyFont="1" applyFill="1" applyBorder="1" applyAlignment="1">
      <alignment vertical="center"/>
    </xf>
    <xf numFmtId="4" fontId="1" fillId="4" borderId="11" xfId="0" applyNumberFormat="1" applyFont="1" applyFill="1" applyBorder="1" applyAlignment="1">
      <alignment vertical="center" wrapText="1"/>
    </xf>
    <xf numFmtId="4" fontId="1" fillId="3" borderId="9" xfId="0" applyNumberFormat="1" applyFont="1" applyFill="1" applyBorder="1" applyAlignment="1">
      <alignment vertical="center" wrapText="1"/>
    </xf>
    <xf numFmtId="4" fontId="1" fillId="6" borderId="8" xfId="0" applyNumberFormat="1" applyFont="1" applyFill="1" applyBorder="1" applyAlignment="1">
      <alignment vertical="center" wrapText="1"/>
    </xf>
    <xf numFmtId="4" fontId="8" fillId="3" borderId="9" xfId="0" applyNumberFormat="1" applyFont="1" applyFill="1" applyBorder="1" applyAlignment="1">
      <alignment vertical="center" wrapText="1"/>
    </xf>
    <xf numFmtId="4" fontId="6" fillId="4" borderId="7" xfId="0" applyNumberFormat="1" applyFont="1" applyFill="1" applyBorder="1" applyAlignment="1">
      <alignment vertical="center"/>
    </xf>
    <xf numFmtId="4" fontId="6" fillId="5" borderId="7" xfId="0" applyNumberFormat="1" applyFont="1" applyFill="1" applyBorder="1" applyAlignment="1">
      <alignment vertical="center"/>
    </xf>
    <xf numFmtId="4" fontId="6" fillId="6" borderId="7" xfId="0" applyNumberFormat="1" applyFont="1" applyFill="1" applyBorder="1" applyAlignment="1">
      <alignment vertical="center"/>
    </xf>
    <xf numFmtId="9" fontId="2" fillId="0" borderId="0" xfId="1" applyFont="1"/>
    <xf numFmtId="9" fontId="2" fillId="0" borderId="0" xfId="0" applyNumberFormat="1" applyFont="1"/>
    <xf numFmtId="0" fontId="1" fillId="0" borderId="7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/>
    <xf numFmtId="0" fontId="6" fillId="0" borderId="9" xfId="0" applyFont="1" applyBorder="1" applyAlignment="1">
      <alignment wrapText="1"/>
    </xf>
    <xf numFmtId="4" fontId="12" fillId="0" borderId="20" xfId="0" applyNumberFormat="1" applyFont="1" applyBorder="1" applyAlignment="1">
      <alignment vertical="center" wrapText="1"/>
    </xf>
    <xf numFmtId="0" fontId="6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tabSelected="1" topLeftCell="A10" zoomScale="90" zoomScaleNormal="90" workbookViewId="0">
      <selection activeCell="K28" sqref="K28"/>
    </sheetView>
  </sheetViews>
  <sheetFormatPr defaultRowHeight="13.8" x14ac:dyDescent="0.25"/>
  <cols>
    <col min="1" max="1" width="5.109375" style="1" customWidth="1"/>
    <col min="2" max="2" width="38.88671875" style="1" customWidth="1"/>
    <col min="3" max="3" width="12.5546875" style="6" customWidth="1"/>
    <col min="4" max="4" width="11.44140625" style="1" customWidth="1"/>
    <col min="5" max="5" width="16" style="1" customWidth="1"/>
    <col min="6" max="6" width="17.109375" style="1" customWidth="1"/>
    <col min="7" max="7" width="15.33203125" style="1" customWidth="1"/>
    <col min="8" max="8" width="16.88671875" style="1" customWidth="1"/>
    <col min="9" max="9" width="14.33203125" style="1" customWidth="1"/>
    <col min="10" max="10" width="19.109375" style="1" customWidth="1"/>
    <col min="11" max="11" width="17.33203125" style="1" customWidth="1"/>
    <col min="12" max="12" width="16.6640625" style="1" customWidth="1"/>
    <col min="13" max="13" width="15.88671875" style="1" customWidth="1"/>
    <col min="14" max="256" width="9.109375" style="1"/>
    <col min="257" max="257" width="5.109375" style="1" customWidth="1"/>
    <col min="258" max="258" width="32.6640625" style="1" customWidth="1"/>
    <col min="259" max="259" width="10.33203125" style="1" customWidth="1"/>
    <col min="260" max="260" width="11.44140625" style="1" customWidth="1"/>
    <col min="261" max="261" width="16" style="1" customWidth="1"/>
    <col min="262" max="262" width="17.109375" style="1" customWidth="1"/>
    <col min="263" max="264" width="9.109375" style="1"/>
    <col min="265" max="266" width="11.5546875" style="1" bestFit="1" customWidth="1"/>
    <col min="267" max="512" width="9.109375" style="1"/>
    <col min="513" max="513" width="5.109375" style="1" customWidth="1"/>
    <col min="514" max="514" width="32.6640625" style="1" customWidth="1"/>
    <col min="515" max="515" width="10.33203125" style="1" customWidth="1"/>
    <col min="516" max="516" width="11.44140625" style="1" customWidth="1"/>
    <col min="517" max="517" width="16" style="1" customWidth="1"/>
    <col min="518" max="518" width="17.109375" style="1" customWidth="1"/>
    <col min="519" max="520" width="9.109375" style="1"/>
    <col min="521" max="522" width="11.5546875" style="1" bestFit="1" customWidth="1"/>
    <col min="523" max="768" width="9.109375" style="1"/>
    <col min="769" max="769" width="5.109375" style="1" customWidth="1"/>
    <col min="770" max="770" width="32.6640625" style="1" customWidth="1"/>
    <col min="771" max="771" width="10.33203125" style="1" customWidth="1"/>
    <col min="772" max="772" width="11.44140625" style="1" customWidth="1"/>
    <col min="773" max="773" width="16" style="1" customWidth="1"/>
    <col min="774" max="774" width="17.109375" style="1" customWidth="1"/>
    <col min="775" max="776" width="9.109375" style="1"/>
    <col min="777" max="778" width="11.5546875" style="1" bestFit="1" customWidth="1"/>
    <col min="779" max="1024" width="9.109375" style="1"/>
    <col min="1025" max="1025" width="5.109375" style="1" customWidth="1"/>
    <col min="1026" max="1026" width="32.6640625" style="1" customWidth="1"/>
    <col min="1027" max="1027" width="10.33203125" style="1" customWidth="1"/>
    <col min="1028" max="1028" width="11.44140625" style="1" customWidth="1"/>
    <col min="1029" max="1029" width="16" style="1" customWidth="1"/>
    <col min="1030" max="1030" width="17.109375" style="1" customWidth="1"/>
    <col min="1031" max="1032" width="9.109375" style="1"/>
    <col min="1033" max="1034" width="11.5546875" style="1" bestFit="1" customWidth="1"/>
    <col min="1035" max="1280" width="9.109375" style="1"/>
    <col min="1281" max="1281" width="5.109375" style="1" customWidth="1"/>
    <col min="1282" max="1282" width="32.6640625" style="1" customWidth="1"/>
    <col min="1283" max="1283" width="10.33203125" style="1" customWidth="1"/>
    <col min="1284" max="1284" width="11.44140625" style="1" customWidth="1"/>
    <col min="1285" max="1285" width="16" style="1" customWidth="1"/>
    <col min="1286" max="1286" width="17.109375" style="1" customWidth="1"/>
    <col min="1287" max="1288" width="9.109375" style="1"/>
    <col min="1289" max="1290" width="11.5546875" style="1" bestFit="1" customWidth="1"/>
    <col min="1291" max="1536" width="9.109375" style="1"/>
    <col min="1537" max="1537" width="5.109375" style="1" customWidth="1"/>
    <col min="1538" max="1538" width="32.6640625" style="1" customWidth="1"/>
    <col min="1539" max="1539" width="10.33203125" style="1" customWidth="1"/>
    <col min="1540" max="1540" width="11.44140625" style="1" customWidth="1"/>
    <col min="1541" max="1541" width="16" style="1" customWidth="1"/>
    <col min="1542" max="1542" width="17.109375" style="1" customWidth="1"/>
    <col min="1543" max="1544" width="9.109375" style="1"/>
    <col min="1545" max="1546" width="11.5546875" style="1" bestFit="1" customWidth="1"/>
    <col min="1547" max="1792" width="9.109375" style="1"/>
    <col min="1793" max="1793" width="5.109375" style="1" customWidth="1"/>
    <col min="1794" max="1794" width="32.6640625" style="1" customWidth="1"/>
    <col min="1795" max="1795" width="10.33203125" style="1" customWidth="1"/>
    <col min="1796" max="1796" width="11.44140625" style="1" customWidth="1"/>
    <col min="1797" max="1797" width="16" style="1" customWidth="1"/>
    <col min="1798" max="1798" width="17.109375" style="1" customWidth="1"/>
    <col min="1799" max="1800" width="9.109375" style="1"/>
    <col min="1801" max="1802" width="11.5546875" style="1" bestFit="1" customWidth="1"/>
    <col min="1803" max="2048" width="9.109375" style="1"/>
    <col min="2049" max="2049" width="5.109375" style="1" customWidth="1"/>
    <col min="2050" max="2050" width="32.6640625" style="1" customWidth="1"/>
    <col min="2051" max="2051" width="10.33203125" style="1" customWidth="1"/>
    <col min="2052" max="2052" width="11.44140625" style="1" customWidth="1"/>
    <col min="2053" max="2053" width="16" style="1" customWidth="1"/>
    <col min="2054" max="2054" width="17.109375" style="1" customWidth="1"/>
    <col min="2055" max="2056" width="9.109375" style="1"/>
    <col min="2057" max="2058" width="11.5546875" style="1" bestFit="1" customWidth="1"/>
    <col min="2059" max="2304" width="9.109375" style="1"/>
    <col min="2305" max="2305" width="5.109375" style="1" customWidth="1"/>
    <col min="2306" max="2306" width="32.6640625" style="1" customWidth="1"/>
    <col min="2307" max="2307" width="10.33203125" style="1" customWidth="1"/>
    <col min="2308" max="2308" width="11.44140625" style="1" customWidth="1"/>
    <col min="2309" max="2309" width="16" style="1" customWidth="1"/>
    <col min="2310" max="2310" width="17.109375" style="1" customWidth="1"/>
    <col min="2311" max="2312" width="9.109375" style="1"/>
    <col min="2313" max="2314" width="11.5546875" style="1" bestFit="1" customWidth="1"/>
    <col min="2315" max="2560" width="9.109375" style="1"/>
    <col min="2561" max="2561" width="5.109375" style="1" customWidth="1"/>
    <col min="2562" max="2562" width="32.6640625" style="1" customWidth="1"/>
    <col min="2563" max="2563" width="10.33203125" style="1" customWidth="1"/>
    <col min="2564" max="2564" width="11.44140625" style="1" customWidth="1"/>
    <col min="2565" max="2565" width="16" style="1" customWidth="1"/>
    <col min="2566" max="2566" width="17.109375" style="1" customWidth="1"/>
    <col min="2567" max="2568" width="9.109375" style="1"/>
    <col min="2569" max="2570" width="11.5546875" style="1" bestFit="1" customWidth="1"/>
    <col min="2571" max="2816" width="9.109375" style="1"/>
    <col min="2817" max="2817" width="5.109375" style="1" customWidth="1"/>
    <col min="2818" max="2818" width="32.6640625" style="1" customWidth="1"/>
    <col min="2819" max="2819" width="10.33203125" style="1" customWidth="1"/>
    <col min="2820" max="2820" width="11.44140625" style="1" customWidth="1"/>
    <col min="2821" max="2821" width="16" style="1" customWidth="1"/>
    <col min="2822" max="2822" width="17.109375" style="1" customWidth="1"/>
    <col min="2823" max="2824" width="9.109375" style="1"/>
    <col min="2825" max="2826" width="11.5546875" style="1" bestFit="1" customWidth="1"/>
    <col min="2827" max="3072" width="9.109375" style="1"/>
    <col min="3073" max="3073" width="5.109375" style="1" customWidth="1"/>
    <col min="3074" max="3074" width="32.6640625" style="1" customWidth="1"/>
    <col min="3075" max="3075" width="10.33203125" style="1" customWidth="1"/>
    <col min="3076" max="3076" width="11.44140625" style="1" customWidth="1"/>
    <col min="3077" max="3077" width="16" style="1" customWidth="1"/>
    <col min="3078" max="3078" width="17.109375" style="1" customWidth="1"/>
    <col min="3079" max="3080" width="9.109375" style="1"/>
    <col min="3081" max="3082" width="11.5546875" style="1" bestFit="1" customWidth="1"/>
    <col min="3083" max="3328" width="9.109375" style="1"/>
    <col min="3329" max="3329" width="5.109375" style="1" customWidth="1"/>
    <col min="3330" max="3330" width="32.6640625" style="1" customWidth="1"/>
    <col min="3331" max="3331" width="10.33203125" style="1" customWidth="1"/>
    <col min="3332" max="3332" width="11.44140625" style="1" customWidth="1"/>
    <col min="3333" max="3333" width="16" style="1" customWidth="1"/>
    <col min="3334" max="3334" width="17.109375" style="1" customWidth="1"/>
    <col min="3335" max="3336" width="9.109375" style="1"/>
    <col min="3337" max="3338" width="11.5546875" style="1" bestFit="1" customWidth="1"/>
    <col min="3339" max="3584" width="9.109375" style="1"/>
    <col min="3585" max="3585" width="5.109375" style="1" customWidth="1"/>
    <col min="3586" max="3586" width="32.6640625" style="1" customWidth="1"/>
    <col min="3587" max="3587" width="10.33203125" style="1" customWidth="1"/>
    <col min="3588" max="3588" width="11.44140625" style="1" customWidth="1"/>
    <col min="3589" max="3589" width="16" style="1" customWidth="1"/>
    <col min="3590" max="3590" width="17.109375" style="1" customWidth="1"/>
    <col min="3591" max="3592" width="9.109375" style="1"/>
    <col min="3593" max="3594" width="11.5546875" style="1" bestFit="1" customWidth="1"/>
    <col min="3595" max="3840" width="9.109375" style="1"/>
    <col min="3841" max="3841" width="5.109375" style="1" customWidth="1"/>
    <col min="3842" max="3842" width="32.6640625" style="1" customWidth="1"/>
    <col min="3843" max="3843" width="10.33203125" style="1" customWidth="1"/>
    <col min="3844" max="3844" width="11.44140625" style="1" customWidth="1"/>
    <col min="3845" max="3845" width="16" style="1" customWidth="1"/>
    <col min="3846" max="3846" width="17.109375" style="1" customWidth="1"/>
    <col min="3847" max="3848" width="9.109375" style="1"/>
    <col min="3849" max="3850" width="11.5546875" style="1" bestFit="1" customWidth="1"/>
    <col min="3851" max="4096" width="9.109375" style="1"/>
    <col min="4097" max="4097" width="5.109375" style="1" customWidth="1"/>
    <col min="4098" max="4098" width="32.6640625" style="1" customWidth="1"/>
    <col min="4099" max="4099" width="10.33203125" style="1" customWidth="1"/>
    <col min="4100" max="4100" width="11.44140625" style="1" customWidth="1"/>
    <col min="4101" max="4101" width="16" style="1" customWidth="1"/>
    <col min="4102" max="4102" width="17.109375" style="1" customWidth="1"/>
    <col min="4103" max="4104" width="9.109375" style="1"/>
    <col min="4105" max="4106" width="11.5546875" style="1" bestFit="1" customWidth="1"/>
    <col min="4107" max="4352" width="9.109375" style="1"/>
    <col min="4353" max="4353" width="5.109375" style="1" customWidth="1"/>
    <col min="4354" max="4354" width="32.6640625" style="1" customWidth="1"/>
    <col min="4355" max="4355" width="10.33203125" style="1" customWidth="1"/>
    <col min="4356" max="4356" width="11.44140625" style="1" customWidth="1"/>
    <col min="4357" max="4357" width="16" style="1" customWidth="1"/>
    <col min="4358" max="4358" width="17.109375" style="1" customWidth="1"/>
    <col min="4359" max="4360" width="9.109375" style="1"/>
    <col min="4361" max="4362" width="11.5546875" style="1" bestFit="1" customWidth="1"/>
    <col min="4363" max="4608" width="9.109375" style="1"/>
    <col min="4609" max="4609" width="5.109375" style="1" customWidth="1"/>
    <col min="4610" max="4610" width="32.6640625" style="1" customWidth="1"/>
    <col min="4611" max="4611" width="10.33203125" style="1" customWidth="1"/>
    <col min="4612" max="4612" width="11.44140625" style="1" customWidth="1"/>
    <col min="4613" max="4613" width="16" style="1" customWidth="1"/>
    <col min="4614" max="4614" width="17.109375" style="1" customWidth="1"/>
    <col min="4615" max="4616" width="9.109375" style="1"/>
    <col min="4617" max="4618" width="11.5546875" style="1" bestFit="1" customWidth="1"/>
    <col min="4619" max="4864" width="9.109375" style="1"/>
    <col min="4865" max="4865" width="5.109375" style="1" customWidth="1"/>
    <col min="4866" max="4866" width="32.6640625" style="1" customWidth="1"/>
    <col min="4867" max="4867" width="10.33203125" style="1" customWidth="1"/>
    <col min="4868" max="4868" width="11.44140625" style="1" customWidth="1"/>
    <col min="4869" max="4869" width="16" style="1" customWidth="1"/>
    <col min="4870" max="4870" width="17.109375" style="1" customWidth="1"/>
    <col min="4871" max="4872" width="9.109375" style="1"/>
    <col min="4873" max="4874" width="11.5546875" style="1" bestFit="1" customWidth="1"/>
    <col min="4875" max="5120" width="9.109375" style="1"/>
    <col min="5121" max="5121" width="5.109375" style="1" customWidth="1"/>
    <col min="5122" max="5122" width="32.6640625" style="1" customWidth="1"/>
    <col min="5123" max="5123" width="10.33203125" style="1" customWidth="1"/>
    <col min="5124" max="5124" width="11.44140625" style="1" customWidth="1"/>
    <col min="5125" max="5125" width="16" style="1" customWidth="1"/>
    <col min="5126" max="5126" width="17.109375" style="1" customWidth="1"/>
    <col min="5127" max="5128" width="9.109375" style="1"/>
    <col min="5129" max="5130" width="11.5546875" style="1" bestFit="1" customWidth="1"/>
    <col min="5131" max="5376" width="9.109375" style="1"/>
    <col min="5377" max="5377" width="5.109375" style="1" customWidth="1"/>
    <col min="5378" max="5378" width="32.6640625" style="1" customWidth="1"/>
    <col min="5379" max="5379" width="10.33203125" style="1" customWidth="1"/>
    <col min="5380" max="5380" width="11.44140625" style="1" customWidth="1"/>
    <col min="5381" max="5381" width="16" style="1" customWidth="1"/>
    <col min="5382" max="5382" width="17.109375" style="1" customWidth="1"/>
    <col min="5383" max="5384" width="9.109375" style="1"/>
    <col min="5385" max="5386" width="11.5546875" style="1" bestFit="1" customWidth="1"/>
    <col min="5387" max="5632" width="9.109375" style="1"/>
    <col min="5633" max="5633" width="5.109375" style="1" customWidth="1"/>
    <col min="5634" max="5634" width="32.6640625" style="1" customWidth="1"/>
    <col min="5635" max="5635" width="10.33203125" style="1" customWidth="1"/>
    <col min="5636" max="5636" width="11.44140625" style="1" customWidth="1"/>
    <col min="5637" max="5637" width="16" style="1" customWidth="1"/>
    <col min="5638" max="5638" width="17.109375" style="1" customWidth="1"/>
    <col min="5639" max="5640" width="9.109375" style="1"/>
    <col min="5641" max="5642" width="11.5546875" style="1" bestFit="1" customWidth="1"/>
    <col min="5643" max="5888" width="9.109375" style="1"/>
    <col min="5889" max="5889" width="5.109375" style="1" customWidth="1"/>
    <col min="5890" max="5890" width="32.6640625" style="1" customWidth="1"/>
    <col min="5891" max="5891" width="10.33203125" style="1" customWidth="1"/>
    <col min="5892" max="5892" width="11.44140625" style="1" customWidth="1"/>
    <col min="5893" max="5893" width="16" style="1" customWidth="1"/>
    <col min="5894" max="5894" width="17.109375" style="1" customWidth="1"/>
    <col min="5895" max="5896" width="9.109375" style="1"/>
    <col min="5897" max="5898" width="11.5546875" style="1" bestFit="1" customWidth="1"/>
    <col min="5899" max="6144" width="9.109375" style="1"/>
    <col min="6145" max="6145" width="5.109375" style="1" customWidth="1"/>
    <col min="6146" max="6146" width="32.6640625" style="1" customWidth="1"/>
    <col min="6147" max="6147" width="10.33203125" style="1" customWidth="1"/>
    <col min="6148" max="6148" width="11.44140625" style="1" customWidth="1"/>
    <col min="6149" max="6149" width="16" style="1" customWidth="1"/>
    <col min="6150" max="6150" width="17.109375" style="1" customWidth="1"/>
    <col min="6151" max="6152" width="9.109375" style="1"/>
    <col min="6153" max="6154" width="11.5546875" style="1" bestFit="1" customWidth="1"/>
    <col min="6155" max="6400" width="9.109375" style="1"/>
    <col min="6401" max="6401" width="5.109375" style="1" customWidth="1"/>
    <col min="6402" max="6402" width="32.6640625" style="1" customWidth="1"/>
    <col min="6403" max="6403" width="10.33203125" style="1" customWidth="1"/>
    <col min="6404" max="6404" width="11.44140625" style="1" customWidth="1"/>
    <col min="6405" max="6405" width="16" style="1" customWidth="1"/>
    <col min="6406" max="6406" width="17.109375" style="1" customWidth="1"/>
    <col min="6407" max="6408" width="9.109375" style="1"/>
    <col min="6409" max="6410" width="11.5546875" style="1" bestFit="1" customWidth="1"/>
    <col min="6411" max="6656" width="9.109375" style="1"/>
    <col min="6657" max="6657" width="5.109375" style="1" customWidth="1"/>
    <col min="6658" max="6658" width="32.6640625" style="1" customWidth="1"/>
    <col min="6659" max="6659" width="10.33203125" style="1" customWidth="1"/>
    <col min="6660" max="6660" width="11.44140625" style="1" customWidth="1"/>
    <col min="6661" max="6661" width="16" style="1" customWidth="1"/>
    <col min="6662" max="6662" width="17.109375" style="1" customWidth="1"/>
    <col min="6663" max="6664" width="9.109375" style="1"/>
    <col min="6665" max="6666" width="11.5546875" style="1" bestFit="1" customWidth="1"/>
    <col min="6667" max="6912" width="9.109375" style="1"/>
    <col min="6913" max="6913" width="5.109375" style="1" customWidth="1"/>
    <col min="6914" max="6914" width="32.6640625" style="1" customWidth="1"/>
    <col min="6915" max="6915" width="10.33203125" style="1" customWidth="1"/>
    <col min="6916" max="6916" width="11.44140625" style="1" customWidth="1"/>
    <col min="6917" max="6917" width="16" style="1" customWidth="1"/>
    <col min="6918" max="6918" width="17.109375" style="1" customWidth="1"/>
    <col min="6919" max="6920" width="9.109375" style="1"/>
    <col min="6921" max="6922" width="11.5546875" style="1" bestFit="1" customWidth="1"/>
    <col min="6923" max="7168" width="9.109375" style="1"/>
    <col min="7169" max="7169" width="5.109375" style="1" customWidth="1"/>
    <col min="7170" max="7170" width="32.6640625" style="1" customWidth="1"/>
    <col min="7171" max="7171" width="10.33203125" style="1" customWidth="1"/>
    <col min="7172" max="7172" width="11.44140625" style="1" customWidth="1"/>
    <col min="7173" max="7173" width="16" style="1" customWidth="1"/>
    <col min="7174" max="7174" width="17.109375" style="1" customWidth="1"/>
    <col min="7175" max="7176" width="9.109375" style="1"/>
    <col min="7177" max="7178" width="11.5546875" style="1" bestFit="1" customWidth="1"/>
    <col min="7179" max="7424" width="9.109375" style="1"/>
    <col min="7425" max="7425" width="5.109375" style="1" customWidth="1"/>
    <col min="7426" max="7426" width="32.6640625" style="1" customWidth="1"/>
    <col min="7427" max="7427" width="10.33203125" style="1" customWidth="1"/>
    <col min="7428" max="7428" width="11.44140625" style="1" customWidth="1"/>
    <col min="7429" max="7429" width="16" style="1" customWidth="1"/>
    <col min="7430" max="7430" width="17.109375" style="1" customWidth="1"/>
    <col min="7431" max="7432" width="9.109375" style="1"/>
    <col min="7433" max="7434" width="11.5546875" style="1" bestFit="1" customWidth="1"/>
    <col min="7435" max="7680" width="9.109375" style="1"/>
    <col min="7681" max="7681" width="5.109375" style="1" customWidth="1"/>
    <col min="7682" max="7682" width="32.6640625" style="1" customWidth="1"/>
    <col min="7683" max="7683" width="10.33203125" style="1" customWidth="1"/>
    <col min="7684" max="7684" width="11.44140625" style="1" customWidth="1"/>
    <col min="7685" max="7685" width="16" style="1" customWidth="1"/>
    <col min="7686" max="7686" width="17.109375" style="1" customWidth="1"/>
    <col min="7687" max="7688" width="9.109375" style="1"/>
    <col min="7689" max="7690" width="11.5546875" style="1" bestFit="1" customWidth="1"/>
    <col min="7691" max="7936" width="9.109375" style="1"/>
    <col min="7937" max="7937" width="5.109375" style="1" customWidth="1"/>
    <col min="7938" max="7938" width="32.6640625" style="1" customWidth="1"/>
    <col min="7939" max="7939" width="10.33203125" style="1" customWidth="1"/>
    <col min="7940" max="7940" width="11.44140625" style="1" customWidth="1"/>
    <col min="7941" max="7941" width="16" style="1" customWidth="1"/>
    <col min="7942" max="7942" width="17.109375" style="1" customWidth="1"/>
    <col min="7943" max="7944" width="9.109375" style="1"/>
    <col min="7945" max="7946" width="11.5546875" style="1" bestFit="1" customWidth="1"/>
    <col min="7947" max="8192" width="9.109375" style="1"/>
    <col min="8193" max="8193" width="5.109375" style="1" customWidth="1"/>
    <col min="8194" max="8194" width="32.6640625" style="1" customWidth="1"/>
    <col min="8195" max="8195" width="10.33203125" style="1" customWidth="1"/>
    <col min="8196" max="8196" width="11.44140625" style="1" customWidth="1"/>
    <col min="8197" max="8197" width="16" style="1" customWidth="1"/>
    <col min="8198" max="8198" width="17.109375" style="1" customWidth="1"/>
    <col min="8199" max="8200" width="9.109375" style="1"/>
    <col min="8201" max="8202" width="11.5546875" style="1" bestFit="1" customWidth="1"/>
    <col min="8203" max="8448" width="9.109375" style="1"/>
    <col min="8449" max="8449" width="5.109375" style="1" customWidth="1"/>
    <col min="8450" max="8450" width="32.6640625" style="1" customWidth="1"/>
    <col min="8451" max="8451" width="10.33203125" style="1" customWidth="1"/>
    <col min="8452" max="8452" width="11.44140625" style="1" customWidth="1"/>
    <col min="8453" max="8453" width="16" style="1" customWidth="1"/>
    <col min="8454" max="8454" width="17.109375" style="1" customWidth="1"/>
    <col min="8455" max="8456" width="9.109375" style="1"/>
    <col min="8457" max="8458" width="11.5546875" style="1" bestFit="1" customWidth="1"/>
    <col min="8459" max="8704" width="9.109375" style="1"/>
    <col min="8705" max="8705" width="5.109375" style="1" customWidth="1"/>
    <col min="8706" max="8706" width="32.6640625" style="1" customWidth="1"/>
    <col min="8707" max="8707" width="10.33203125" style="1" customWidth="1"/>
    <col min="8708" max="8708" width="11.44140625" style="1" customWidth="1"/>
    <col min="8709" max="8709" width="16" style="1" customWidth="1"/>
    <col min="8710" max="8710" width="17.109375" style="1" customWidth="1"/>
    <col min="8711" max="8712" width="9.109375" style="1"/>
    <col min="8713" max="8714" width="11.5546875" style="1" bestFit="1" customWidth="1"/>
    <col min="8715" max="8960" width="9.109375" style="1"/>
    <col min="8961" max="8961" width="5.109375" style="1" customWidth="1"/>
    <col min="8962" max="8962" width="32.6640625" style="1" customWidth="1"/>
    <col min="8963" max="8963" width="10.33203125" style="1" customWidth="1"/>
    <col min="8964" max="8964" width="11.44140625" style="1" customWidth="1"/>
    <col min="8965" max="8965" width="16" style="1" customWidth="1"/>
    <col min="8966" max="8966" width="17.109375" style="1" customWidth="1"/>
    <col min="8967" max="8968" width="9.109375" style="1"/>
    <col min="8969" max="8970" width="11.5546875" style="1" bestFit="1" customWidth="1"/>
    <col min="8971" max="9216" width="9.109375" style="1"/>
    <col min="9217" max="9217" width="5.109375" style="1" customWidth="1"/>
    <col min="9218" max="9218" width="32.6640625" style="1" customWidth="1"/>
    <col min="9219" max="9219" width="10.33203125" style="1" customWidth="1"/>
    <col min="9220" max="9220" width="11.44140625" style="1" customWidth="1"/>
    <col min="9221" max="9221" width="16" style="1" customWidth="1"/>
    <col min="9222" max="9222" width="17.109375" style="1" customWidth="1"/>
    <col min="9223" max="9224" width="9.109375" style="1"/>
    <col min="9225" max="9226" width="11.5546875" style="1" bestFit="1" customWidth="1"/>
    <col min="9227" max="9472" width="9.109375" style="1"/>
    <col min="9473" max="9473" width="5.109375" style="1" customWidth="1"/>
    <col min="9474" max="9474" width="32.6640625" style="1" customWidth="1"/>
    <col min="9475" max="9475" width="10.33203125" style="1" customWidth="1"/>
    <col min="9476" max="9476" width="11.44140625" style="1" customWidth="1"/>
    <col min="9477" max="9477" width="16" style="1" customWidth="1"/>
    <col min="9478" max="9478" width="17.109375" style="1" customWidth="1"/>
    <col min="9479" max="9480" width="9.109375" style="1"/>
    <col min="9481" max="9482" width="11.5546875" style="1" bestFit="1" customWidth="1"/>
    <col min="9483" max="9728" width="9.109375" style="1"/>
    <col min="9729" max="9729" width="5.109375" style="1" customWidth="1"/>
    <col min="9730" max="9730" width="32.6640625" style="1" customWidth="1"/>
    <col min="9731" max="9731" width="10.33203125" style="1" customWidth="1"/>
    <col min="9732" max="9732" width="11.44140625" style="1" customWidth="1"/>
    <col min="9733" max="9733" width="16" style="1" customWidth="1"/>
    <col min="9734" max="9734" width="17.109375" style="1" customWidth="1"/>
    <col min="9735" max="9736" width="9.109375" style="1"/>
    <col min="9737" max="9738" width="11.5546875" style="1" bestFit="1" customWidth="1"/>
    <col min="9739" max="9984" width="9.109375" style="1"/>
    <col min="9985" max="9985" width="5.109375" style="1" customWidth="1"/>
    <col min="9986" max="9986" width="32.6640625" style="1" customWidth="1"/>
    <col min="9987" max="9987" width="10.33203125" style="1" customWidth="1"/>
    <col min="9988" max="9988" width="11.44140625" style="1" customWidth="1"/>
    <col min="9989" max="9989" width="16" style="1" customWidth="1"/>
    <col min="9990" max="9990" width="17.109375" style="1" customWidth="1"/>
    <col min="9991" max="9992" width="9.109375" style="1"/>
    <col min="9993" max="9994" width="11.5546875" style="1" bestFit="1" customWidth="1"/>
    <col min="9995" max="10240" width="9.109375" style="1"/>
    <col min="10241" max="10241" width="5.109375" style="1" customWidth="1"/>
    <col min="10242" max="10242" width="32.6640625" style="1" customWidth="1"/>
    <col min="10243" max="10243" width="10.33203125" style="1" customWidth="1"/>
    <col min="10244" max="10244" width="11.44140625" style="1" customWidth="1"/>
    <col min="10245" max="10245" width="16" style="1" customWidth="1"/>
    <col min="10246" max="10246" width="17.109375" style="1" customWidth="1"/>
    <col min="10247" max="10248" width="9.109375" style="1"/>
    <col min="10249" max="10250" width="11.5546875" style="1" bestFit="1" customWidth="1"/>
    <col min="10251" max="10496" width="9.109375" style="1"/>
    <col min="10497" max="10497" width="5.109375" style="1" customWidth="1"/>
    <col min="10498" max="10498" width="32.6640625" style="1" customWidth="1"/>
    <col min="10499" max="10499" width="10.33203125" style="1" customWidth="1"/>
    <col min="10500" max="10500" width="11.44140625" style="1" customWidth="1"/>
    <col min="10501" max="10501" width="16" style="1" customWidth="1"/>
    <col min="10502" max="10502" width="17.109375" style="1" customWidth="1"/>
    <col min="10503" max="10504" width="9.109375" style="1"/>
    <col min="10505" max="10506" width="11.5546875" style="1" bestFit="1" customWidth="1"/>
    <col min="10507" max="10752" width="9.109375" style="1"/>
    <col min="10753" max="10753" width="5.109375" style="1" customWidth="1"/>
    <col min="10754" max="10754" width="32.6640625" style="1" customWidth="1"/>
    <col min="10755" max="10755" width="10.33203125" style="1" customWidth="1"/>
    <col min="10756" max="10756" width="11.44140625" style="1" customWidth="1"/>
    <col min="10757" max="10757" width="16" style="1" customWidth="1"/>
    <col min="10758" max="10758" width="17.109375" style="1" customWidth="1"/>
    <col min="10759" max="10760" width="9.109375" style="1"/>
    <col min="10761" max="10762" width="11.5546875" style="1" bestFit="1" customWidth="1"/>
    <col min="10763" max="11008" width="9.109375" style="1"/>
    <col min="11009" max="11009" width="5.109375" style="1" customWidth="1"/>
    <col min="11010" max="11010" width="32.6640625" style="1" customWidth="1"/>
    <col min="11011" max="11011" width="10.33203125" style="1" customWidth="1"/>
    <col min="11012" max="11012" width="11.44140625" style="1" customWidth="1"/>
    <col min="11013" max="11013" width="16" style="1" customWidth="1"/>
    <col min="11014" max="11014" width="17.109375" style="1" customWidth="1"/>
    <col min="11015" max="11016" width="9.109375" style="1"/>
    <col min="11017" max="11018" width="11.5546875" style="1" bestFit="1" customWidth="1"/>
    <col min="11019" max="11264" width="9.109375" style="1"/>
    <col min="11265" max="11265" width="5.109375" style="1" customWidth="1"/>
    <col min="11266" max="11266" width="32.6640625" style="1" customWidth="1"/>
    <col min="11267" max="11267" width="10.33203125" style="1" customWidth="1"/>
    <col min="11268" max="11268" width="11.44140625" style="1" customWidth="1"/>
    <col min="11269" max="11269" width="16" style="1" customWidth="1"/>
    <col min="11270" max="11270" width="17.109375" style="1" customWidth="1"/>
    <col min="11271" max="11272" width="9.109375" style="1"/>
    <col min="11273" max="11274" width="11.5546875" style="1" bestFit="1" customWidth="1"/>
    <col min="11275" max="11520" width="9.109375" style="1"/>
    <col min="11521" max="11521" width="5.109375" style="1" customWidth="1"/>
    <col min="11522" max="11522" width="32.6640625" style="1" customWidth="1"/>
    <col min="11523" max="11523" width="10.33203125" style="1" customWidth="1"/>
    <col min="11524" max="11524" width="11.44140625" style="1" customWidth="1"/>
    <col min="11525" max="11525" width="16" style="1" customWidth="1"/>
    <col min="11526" max="11526" width="17.109375" style="1" customWidth="1"/>
    <col min="11527" max="11528" width="9.109375" style="1"/>
    <col min="11529" max="11530" width="11.5546875" style="1" bestFit="1" customWidth="1"/>
    <col min="11531" max="11776" width="9.109375" style="1"/>
    <col min="11777" max="11777" width="5.109375" style="1" customWidth="1"/>
    <col min="11778" max="11778" width="32.6640625" style="1" customWidth="1"/>
    <col min="11779" max="11779" width="10.33203125" style="1" customWidth="1"/>
    <col min="11780" max="11780" width="11.44140625" style="1" customWidth="1"/>
    <col min="11781" max="11781" width="16" style="1" customWidth="1"/>
    <col min="11782" max="11782" width="17.109375" style="1" customWidth="1"/>
    <col min="11783" max="11784" width="9.109375" style="1"/>
    <col min="11785" max="11786" width="11.5546875" style="1" bestFit="1" customWidth="1"/>
    <col min="11787" max="12032" width="9.109375" style="1"/>
    <col min="12033" max="12033" width="5.109375" style="1" customWidth="1"/>
    <col min="12034" max="12034" width="32.6640625" style="1" customWidth="1"/>
    <col min="12035" max="12035" width="10.33203125" style="1" customWidth="1"/>
    <col min="12036" max="12036" width="11.44140625" style="1" customWidth="1"/>
    <col min="12037" max="12037" width="16" style="1" customWidth="1"/>
    <col min="12038" max="12038" width="17.109375" style="1" customWidth="1"/>
    <col min="12039" max="12040" width="9.109375" style="1"/>
    <col min="12041" max="12042" width="11.5546875" style="1" bestFit="1" customWidth="1"/>
    <col min="12043" max="12288" width="9.109375" style="1"/>
    <col min="12289" max="12289" width="5.109375" style="1" customWidth="1"/>
    <col min="12290" max="12290" width="32.6640625" style="1" customWidth="1"/>
    <col min="12291" max="12291" width="10.33203125" style="1" customWidth="1"/>
    <col min="12292" max="12292" width="11.44140625" style="1" customWidth="1"/>
    <col min="12293" max="12293" width="16" style="1" customWidth="1"/>
    <col min="12294" max="12294" width="17.109375" style="1" customWidth="1"/>
    <col min="12295" max="12296" width="9.109375" style="1"/>
    <col min="12297" max="12298" width="11.5546875" style="1" bestFit="1" customWidth="1"/>
    <col min="12299" max="12544" width="9.109375" style="1"/>
    <col min="12545" max="12545" width="5.109375" style="1" customWidth="1"/>
    <col min="12546" max="12546" width="32.6640625" style="1" customWidth="1"/>
    <col min="12547" max="12547" width="10.33203125" style="1" customWidth="1"/>
    <col min="12548" max="12548" width="11.44140625" style="1" customWidth="1"/>
    <col min="12549" max="12549" width="16" style="1" customWidth="1"/>
    <col min="12550" max="12550" width="17.109375" style="1" customWidth="1"/>
    <col min="12551" max="12552" width="9.109375" style="1"/>
    <col min="12553" max="12554" width="11.5546875" style="1" bestFit="1" customWidth="1"/>
    <col min="12555" max="12800" width="9.109375" style="1"/>
    <col min="12801" max="12801" width="5.109375" style="1" customWidth="1"/>
    <col min="12802" max="12802" width="32.6640625" style="1" customWidth="1"/>
    <col min="12803" max="12803" width="10.33203125" style="1" customWidth="1"/>
    <col min="12804" max="12804" width="11.44140625" style="1" customWidth="1"/>
    <col min="12805" max="12805" width="16" style="1" customWidth="1"/>
    <col min="12806" max="12806" width="17.109375" style="1" customWidth="1"/>
    <col min="12807" max="12808" width="9.109375" style="1"/>
    <col min="12809" max="12810" width="11.5546875" style="1" bestFit="1" customWidth="1"/>
    <col min="12811" max="13056" width="9.109375" style="1"/>
    <col min="13057" max="13057" width="5.109375" style="1" customWidth="1"/>
    <col min="13058" max="13058" width="32.6640625" style="1" customWidth="1"/>
    <col min="13059" max="13059" width="10.33203125" style="1" customWidth="1"/>
    <col min="13060" max="13060" width="11.44140625" style="1" customWidth="1"/>
    <col min="13061" max="13061" width="16" style="1" customWidth="1"/>
    <col min="13062" max="13062" width="17.109375" style="1" customWidth="1"/>
    <col min="13063" max="13064" width="9.109375" style="1"/>
    <col min="13065" max="13066" width="11.5546875" style="1" bestFit="1" customWidth="1"/>
    <col min="13067" max="13312" width="9.109375" style="1"/>
    <col min="13313" max="13313" width="5.109375" style="1" customWidth="1"/>
    <col min="13314" max="13314" width="32.6640625" style="1" customWidth="1"/>
    <col min="13315" max="13315" width="10.33203125" style="1" customWidth="1"/>
    <col min="13316" max="13316" width="11.44140625" style="1" customWidth="1"/>
    <col min="13317" max="13317" width="16" style="1" customWidth="1"/>
    <col min="13318" max="13318" width="17.109375" style="1" customWidth="1"/>
    <col min="13319" max="13320" width="9.109375" style="1"/>
    <col min="13321" max="13322" width="11.5546875" style="1" bestFit="1" customWidth="1"/>
    <col min="13323" max="13568" width="9.109375" style="1"/>
    <col min="13569" max="13569" width="5.109375" style="1" customWidth="1"/>
    <col min="13570" max="13570" width="32.6640625" style="1" customWidth="1"/>
    <col min="13571" max="13571" width="10.33203125" style="1" customWidth="1"/>
    <col min="13572" max="13572" width="11.44140625" style="1" customWidth="1"/>
    <col min="13573" max="13573" width="16" style="1" customWidth="1"/>
    <col min="13574" max="13574" width="17.109375" style="1" customWidth="1"/>
    <col min="13575" max="13576" width="9.109375" style="1"/>
    <col min="13577" max="13578" width="11.5546875" style="1" bestFit="1" customWidth="1"/>
    <col min="13579" max="13824" width="9.109375" style="1"/>
    <col min="13825" max="13825" width="5.109375" style="1" customWidth="1"/>
    <col min="13826" max="13826" width="32.6640625" style="1" customWidth="1"/>
    <col min="13827" max="13827" width="10.33203125" style="1" customWidth="1"/>
    <col min="13828" max="13828" width="11.44140625" style="1" customWidth="1"/>
    <col min="13829" max="13829" width="16" style="1" customWidth="1"/>
    <col min="13830" max="13830" width="17.109375" style="1" customWidth="1"/>
    <col min="13831" max="13832" width="9.109375" style="1"/>
    <col min="13833" max="13834" width="11.5546875" style="1" bestFit="1" customWidth="1"/>
    <col min="13835" max="14080" width="9.109375" style="1"/>
    <col min="14081" max="14081" width="5.109375" style="1" customWidth="1"/>
    <col min="14082" max="14082" width="32.6640625" style="1" customWidth="1"/>
    <col min="14083" max="14083" width="10.33203125" style="1" customWidth="1"/>
    <col min="14084" max="14084" width="11.44140625" style="1" customWidth="1"/>
    <col min="14085" max="14085" width="16" style="1" customWidth="1"/>
    <col min="14086" max="14086" width="17.109375" style="1" customWidth="1"/>
    <col min="14087" max="14088" width="9.109375" style="1"/>
    <col min="14089" max="14090" width="11.5546875" style="1" bestFit="1" customWidth="1"/>
    <col min="14091" max="14336" width="9.109375" style="1"/>
    <col min="14337" max="14337" width="5.109375" style="1" customWidth="1"/>
    <col min="14338" max="14338" width="32.6640625" style="1" customWidth="1"/>
    <col min="14339" max="14339" width="10.33203125" style="1" customWidth="1"/>
    <col min="14340" max="14340" width="11.44140625" style="1" customWidth="1"/>
    <col min="14341" max="14341" width="16" style="1" customWidth="1"/>
    <col min="14342" max="14342" width="17.109375" style="1" customWidth="1"/>
    <col min="14343" max="14344" width="9.109375" style="1"/>
    <col min="14345" max="14346" width="11.5546875" style="1" bestFit="1" customWidth="1"/>
    <col min="14347" max="14592" width="9.109375" style="1"/>
    <col min="14593" max="14593" width="5.109375" style="1" customWidth="1"/>
    <col min="14594" max="14594" width="32.6640625" style="1" customWidth="1"/>
    <col min="14595" max="14595" width="10.33203125" style="1" customWidth="1"/>
    <col min="14596" max="14596" width="11.44140625" style="1" customWidth="1"/>
    <col min="14597" max="14597" width="16" style="1" customWidth="1"/>
    <col min="14598" max="14598" width="17.109375" style="1" customWidth="1"/>
    <col min="14599" max="14600" width="9.109375" style="1"/>
    <col min="14601" max="14602" width="11.5546875" style="1" bestFit="1" customWidth="1"/>
    <col min="14603" max="14848" width="9.109375" style="1"/>
    <col min="14849" max="14849" width="5.109375" style="1" customWidth="1"/>
    <col min="14850" max="14850" width="32.6640625" style="1" customWidth="1"/>
    <col min="14851" max="14851" width="10.33203125" style="1" customWidth="1"/>
    <col min="14852" max="14852" width="11.44140625" style="1" customWidth="1"/>
    <col min="14853" max="14853" width="16" style="1" customWidth="1"/>
    <col min="14854" max="14854" width="17.109375" style="1" customWidth="1"/>
    <col min="14855" max="14856" width="9.109375" style="1"/>
    <col min="14857" max="14858" width="11.5546875" style="1" bestFit="1" customWidth="1"/>
    <col min="14859" max="15104" width="9.109375" style="1"/>
    <col min="15105" max="15105" width="5.109375" style="1" customWidth="1"/>
    <col min="15106" max="15106" width="32.6640625" style="1" customWidth="1"/>
    <col min="15107" max="15107" width="10.33203125" style="1" customWidth="1"/>
    <col min="15108" max="15108" width="11.44140625" style="1" customWidth="1"/>
    <col min="15109" max="15109" width="16" style="1" customWidth="1"/>
    <col min="15110" max="15110" width="17.109375" style="1" customWidth="1"/>
    <col min="15111" max="15112" width="9.109375" style="1"/>
    <col min="15113" max="15114" width="11.5546875" style="1" bestFit="1" customWidth="1"/>
    <col min="15115" max="15360" width="9.109375" style="1"/>
    <col min="15361" max="15361" width="5.109375" style="1" customWidth="1"/>
    <col min="15362" max="15362" width="32.6640625" style="1" customWidth="1"/>
    <col min="15363" max="15363" width="10.33203125" style="1" customWidth="1"/>
    <col min="15364" max="15364" width="11.44140625" style="1" customWidth="1"/>
    <col min="15365" max="15365" width="16" style="1" customWidth="1"/>
    <col min="15366" max="15366" width="17.109375" style="1" customWidth="1"/>
    <col min="15367" max="15368" width="9.109375" style="1"/>
    <col min="15369" max="15370" width="11.5546875" style="1" bestFit="1" customWidth="1"/>
    <col min="15371" max="15616" width="9.109375" style="1"/>
    <col min="15617" max="15617" width="5.109375" style="1" customWidth="1"/>
    <col min="15618" max="15618" width="32.6640625" style="1" customWidth="1"/>
    <col min="15619" max="15619" width="10.33203125" style="1" customWidth="1"/>
    <col min="15620" max="15620" width="11.44140625" style="1" customWidth="1"/>
    <col min="15621" max="15621" width="16" style="1" customWidth="1"/>
    <col min="15622" max="15622" width="17.109375" style="1" customWidth="1"/>
    <col min="15623" max="15624" width="9.109375" style="1"/>
    <col min="15625" max="15626" width="11.5546875" style="1" bestFit="1" customWidth="1"/>
    <col min="15627" max="15872" width="9.109375" style="1"/>
    <col min="15873" max="15873" width="5.109375" style="1" customWidth="1"/>
    <col min="15874" max="15874" width="32.6640625" style="1" customWidth="1"/>
    <col min="15875" max="15875" width="10.33203125" style="1" customWidth="1"/>
    <col min="15876" max="15876" width="11.44140625" style="1" customWidth="1"/>
    <col min="15877" max="15877" width="16" style="1" customWidth="1"/>
    <col min="15878" max="15878" width="17.109375" style="1" customWidth="1"/>
    <col min="15879" max="15880" width="9.109375" style="1"/>
    <col min="15881" max="15882" width="11.5546875" style="1" bestFit="1" customWidth="1"/>
    <col min="15883" max="16128" width="9.109375" style="1"/>
    <col min="16129" max="16129" width="5.109375" style="1" customWidth="1"/>
    <col min="16130" max="16130" width="32.6640625" style="1" customWidth="1"/>
    <col min="16131" max="16131" width="10.33203125" style="1" customWidth="1"/>
    <col min="16132" max="16132" width="11.44140625" style="1" customWidth="1"/>
    <col min="16133" max="16133" width="16" style="1" customWidth="1"/>
    <col min="16134" max="16134" width="17.109375" style="1" customWidth="1"/>
    <col min="16135" max="16136" width="9.109375" style="1"/>
    <col min="16137" max="16138" width="11.5546875" style="1" bestFit="1" customWidth="1"/>
    <col min="16139" max="16384" width="9.109375" style="1"/>
  </cols>
  <sheetData>
    <row r="1" spans="1:14" ht="62.4" customHeight="1" thickBot="1" x14ac:dyDescent="0.35">
      <c r="A1" s="75" t="s">
        <v>62</v>
      </c>
      <c r="B1" s="75"/>
      <c r="C1" s="75"/>
      <c r="D1" s="75"/>
      <c r="E1" s="75"/>
      <c r="F1" s="75"/>
      <c r="G1" s="76"/>
      <c r="H1" s="76"/>
      <c r="I1" s="76"/>
      <c r="J1" s="76"/>
      <c r="K1" s="76"/>
      <c r="L1" s="76"/>
      <c r="M1" s="76"/>
    </row>
    <row r="2" spans="1:14" ht="59.4" customHeight="1" thickBot="1" x14ac:dyDescent="0.3">
      <c r="A2" s="77"/>
      <c r="B2" s="78"/>
      <c r="C2" s="78"/>
      <c r="D2" s="78"/>
      <c r="E2" s="78"/>
      <c r="F2" s="79"/>
      <c r="G2" s="66" t="s">
        <v>56</v>
      </c>
      <c r="H2" s="68" t="s">
        <v>57</v>
      </c>
      <c r="I2" s="65" t="s">
        <v>58</v>
      </c>
      <c r="J2" s="68" t="s">
        <v>59</v>
      </c>
      <c r="K2" s="68" t="s">
        <v>60</v>
      </c>
      <c r="L2" s="67" t="s">
        <v>61</v>
      </c>
      <c r="M2" s="69"/>
    </row>
    <row r="3" spans="1:14" s="8" customFormat="1" ht="45" customHeight="1" x14ac:dyDescent="0.3">
      <c r="A3" s="60" t="s">
        <v>0</v>
      </c>
      <c r="B3" s="60" t="s">
        <v>1</v>
      </c>
      <c r="C3" s="60" t="s">
        <v>2</v>
      </c>
      <c r="D3" s="60" t="s">
        <v>3</v>
      </c>
      <c r="E3" s="60" t="s">
        <v>63</v>
      </c>
      <c r="F3" s="60" t="s">
        <v>4</v>
      </c>
      <c r="G3" s="61" t="s">
        <v>49</v>
      </c>
      <c r="H3" s="61" t="s">
        <v>50</v>
      </c>
      <c r="I3" s="62" t="s">
        <v>52</v>
      </c>
      <c r="J3" s="62" t="s">
        <v>53</v>
      </c>
      <c r="K3" s="63" t="s">
        <v>54</v>
      </c>
      <c r="L3" s="64" t="s">
        <v>55</v>
      </c>
      <c r="M3" s="60"/>
    </row>
    <row r="4" spans="1:14" s="13" customFormat="1" ht="24" customHeight="1" x14ac:dyDescent="0.3">
      <c r="A4" s="9" t="s">
        <v>17</v>
      </c>
      <c r="B4" s="10" t="s">
        <v>5</v>
      </c>
      <c r="C4" s="9" t="s">
        <v>6</v>
      </c>
      <c r="D4" s="11">
        <v>2.411</v>
      </c>
      <c r="E4" s="12"/>
      <c r="F4" s="12">
        <f>SUM(F5:F8)</f>
        <v>7272164.7146341465</v>
      </c>
      <c r="G4" s="12"/>
      <c r="H4" s="12"/>
      <c r="I4" s="12"/>
      <c r="J4" s="12"/>
      <c r="K4" s="12"/>
      <c r="L4" s="12"/>
      <c r="M4" s="12"/>
    </row>
    <row r="5" spans="1:14" s="5" customFormat="1" ht="47.25" customHeight="1" x14ac:dyDescent="0.3">
      <c r="A5" s="2" t="s">
        <v>18</v>
      </c>
      <c r="B5" s="3" t="s">
        <v>36</v>
      </c>
      <c r="C5" s="2" t="s">
        <v>16</v>
      </c>
      <c r="D5" s="4">
        <v>19516.939999999999</v>
      </c>
      <c r="E5" s="48">
        <v>295</v>
      </c>
      <c r="F5" s="4">
        <f>D5*E5</f>
        <v>5757497.2999999998</v>
      </c>
      <c r="G5" s="4">
        <f>6082.23*E5</f>
        <v>1794257.8499999999</v>
      </c>
      <c r="H5" s="4">
        <f>2258.21*E5</f>
        <v>666171.94999999995</v>
      </c>
      <c r="I5" s="4">
        <f>2402.76*E5</f>
        <v>708814.20000000007</v>
      </c>
      <c r="J5" s="4">
        <f>2203*E5</f>
        <v>649885</v>
      </c>
      <c r="K5" s="4">
        <f>4393.95*E5</f>
        <v>1296215.25</v>
      </c>
      <c r="L5" s="4">
        <f>2176.79*E5</f>
        <v>642153.05000000005</v>
      </c>
      <c r="M5" s="4">
        <f t="shared" ref="M5:M12" si="0">SUM(G5:L5)</f>
        <v>5757497.2999999998</v>
      </c>
    </row>
    <row r="6" spans="1:14" s="5" customFormat="1" ht="40.5" customHeight="1" x14ac:dyDescent="0.3">
      <c r="A6" s="2" t="s">
        <v>19</v>
      </c>
      <c r="B6" s="3" t="s">
        <v>14</v>
      </c>
      <c r="C6" s="2" t="s">
        <v>16</v>
      </c>
      <c r="D6" s="46">
        <v>2227.0300000000002</v>
      </c>
      <c r="E6" s="4">
        <f>90/1.23</f>
        <v>73.170731707317074</v>
      </c>
      <c r="F6" s="4">
        <f>D6*E6</f>
        <v>162953.41463414635</v>
      </c>
      <c r="G6" s="4">
        <f>192.85*E6</f>
        <v>14110.975609756097</v>
      </c>
      <c r="H6" s="4">
        <f>1099.26*E6</f>
        <v>80433.658536585368</v>
      </c>
      <c r="I6" s="4"/>
      <c r="J6" s="4"/>
      <c r="K6" s="4"/>
      <c r="L6" s="4">
        <f>934.92*E6</f>
        <v>68408.780487804877</v>
      </c>
      <c r="M6" s="4">
        <f t="shared" si="0"/>
        <v>162953.41463414635</v>
      </c>
    </row>
    <row r="7" spans="1:14" s="5" customFormat="1" ht="34.5" customHeight="1" x14ac:dyDescent="0.3">
      <c r="A7" s="2" t="s">
        <v>20</v>
      </c>
      <c r="B7" s="3" t="s">
        <v>15</v>
      </c>
      <c r="C7" s="2" t="s">
        <v>16</v>
      </c>
      <c r="D7" s="21">
        <v>902.22</v>
      </c>
      <c r="E7" s="46">
        <v>140</v>
      </c>
      <c r="F7" s="4">
        <f t="shared" ref="F7:F8" si="1">D7*E7</f>
        <v>126310.8</v>
      </c>
      <c r="G7" s="4">
        <f>154.28*E7</f>
        <v>21599.200000000001</v>
      </c>
      <c r="H7" s="4">
        <v>0</v>
      </c>
      <c r="I7" s="4"/>
      <c r="J7" s="4"/>
      <c r="K7" s="4"/>
      <c r="L7" s="4">
        <f>747.94*E7</f>
        <v>104711.6</v>
      </c>
      <c r="M7" s="4">
        <f t="shared" si="0"/>
        <v>126310.8</v>
      </c>
    </row>
    <row r="8" spans="1:14" s="5" customFormat="1" ht="34.5" customHeight="1" x14ac:dyDescent="0.3">
      <c r="A8" s="2" t="s">
        <v>21</v>
      </c>
      <c r="B8" s="3" t="s">
        <v>22</v>
      </c>
      <c r="C8" s="2" t="s">
        <v>16</v>
      </c>
      <c r="D8" s="46">
        <v>8752.8799999999992</v>
      </c>
      <c r="E8" s="46">
        <v>140</v>
      </c>
      <c r="F8" s="4">
        <f t="shared" si="1"/>
        <v>1225403.2</v>
      </c>
      <c r="G8" s="4">
        <f>5421.21*E8</f>
        <v>758969.4</v>
      </c>
      <c r="H8" s="4">
        <v>0</v>
      </c>
      <c r="I8" s="4"/>
      <c r="J8" s="4"/>
      <c r="K8" s="4">
        <f>3331.67*E8</f>
        <v>466433.8</v>
      </c>
      <c r="L8" s="4"/>
      <c r="M8" s="4">
        <f t="shared" si="0"/>
        <v>1225403.2</v>
      </c>
    </row>
    <row r="9" spans="1:14" s="17" customFormat="1" ht="22.5" customHeight="1" x14ac:dyDescent="0.3">
      <c r="A9" s="7" t="s">
        <v>23</v>
      </c>
      <c r="B9" s="14" t="s">
        <v>11</v>
      </c>
      <c r="C9" s="7" t="s">
        <v>30</v>
      </c>
      <c r="D9" s="15">
        <v>2200</v>
      </c>
      <c r="E9" s="16">
        <f>1030*1.1/1.23</f>
        <v>921.13821138211381</v>
      </c>
      <c r="F9" s="16">
        <f>D9*E9</f>
        <v>2026504.0650406503</v>
      </c>
      <c r="G9" s="16">
        <f>805*E9</f>
        <v>741516.2601626016</v>
      </c>
      <c r="H9" s="16">
        <f>310*E9</f>
        <v>285552.84552845528</v>
      </c>
      <c r="I9" s="16">
        <f>260*E9</f>
        <v>239495.9349593496</v>
      </c>
      <c r="J9" s="16">
        <f>315*E9</f>
        <v>290158.53658536583</v>
      </c>
      <c r="K9" s="16">
        <f>510*E9</f>
        <v>469780.48780487804</v>
      </c>
      <c r="L9" s="16"/>
      <c r="M9" s="47">
        <f t="shared" si="0"/>
        <v>2026504.0650406505</v>
      </c>
    </row>
    <row r="10" spans="1:14" s="17" customFormat="1" ht="18" customHeight="1" x14ac:dyDescent="0.3">
      <c r="A10" s="7" t="s">
        <v>24</v>
      </c>
      <c r="B10" s="14" t="s">
        <v>12</v>
      </c>
      <c r="C10" s="7" t="s">
        <v>30</v>
      </c>
      <c r="D10" s="15">
        <v>2105</v>
      </c>
      <c r="E10" s="16">
        <f>800*1.1/1.23</f>
        <v>715.44715447154476</v>
      </c>
      <c r="F10" s="16">
        <f t="shared" ref="F10:F12" si="2">D10*E10</f>
        <v>1506016.2601626017</v>
      </c>
      <c r="G10" s="16">
        <f>715*E10</f>
        <v>511544.71544715448</v>
      </c>
      <c r="H10" s="16">
        <f>310*E10</f>
        <v>221788.61788617886</v>
      </c>
      <c r="I10" s="16">
        <f>200*E10</f>
        <v>143089.43089430896</v>
      </c>
      <c r="J10" s="16">
        <f>345*E10</f>
        <v>246829.26829268294</v>
      </c>
      <c r="K10" s="16">
        <f>535*E10</f>
        <v>382764.22764227644</v>
      </c>
      <c r="L10" s="16"/>
      <c r="M10" s="47">
        <f t="shared" si="0"/>
        <v>1506016.2601626017</v>
      </c>
    </row>
    <row r="11" spans="1:14" s="17" customFormat="1" ht="18" customHeight="1" x14ac:dyDescent="0.3">
      <c r="A11" s="7" t="s">
        <v>25</v>
      </c>
      <c r="B11" s="14" t="s">
        <v>9</v>
      </c>
      <c r="C11" s="7" t="s">
        <v>30</v>
      </c>
      <c r="D11" s="15">
        <v>2460</v>
      </c>
      <c r="E11" s="16">
        <f>370*1.1/1.23</f>
        <v>330.89430894308947</v>
      </c>
      <c r="F11" s="16">
        <f t="shared" si="2"/>
        <v>814000.00000000012</v>
      </c>
      <c r="G11" s="16">
        <f>760*E11</f>
        <v>251479.674796748</v>
      </c>
      <c r="H11" s="16">
        <f>510*E11</f>
        <v>168756.09756097564</v>
      </c>
      <c r="I11" s="16">
        <f>260*E11</f>
        <v>86032.520325203266</v>
      </c>
      <c r="J11" s="16">
        <f>500*E11</f>
        <v>165447.15447154472</v>
      </c>
      <c r="K11" s="16">
        <f>430*E11</f>
        <v>142284.55284552847</v>
      </c>
      <c r="L11" s="16"/>
      <c r="M11" s="47">
        <f t="shared" si="0"/>
        <v>814000.00000000012</v>
      </c>
    </row>
    <row r="12" spans="1:14" s="17" customFormat="1" ht="21.75" customHeight="1" x14ac:dyDescent="0.3">
      <c r="A12" s="7" t="s">
        <v>26</v>
      </c>
      <c r="B12" s="14" t="s">
        <v>10</v>
      </c>
      <c r="C12" s="7" t="s">
        <v>30</v>
      </c>
      <c r="D12" s="15">
        <v>2265</v>
      </c>
      <c r="E12" s="16">
        <f>220/1.23</f>
        <v>178.86178861788619</v>
      </c>
      <c r="F12" s="16">
        <f t="shared" si="2"/>
        <v>405121.95121951221</v>
      </c>
      <c r="G12" s="16">
        <f>655*E12</f>
        <v>117154.47154471546</v>
      </c>
      <c r="H12" s="16">
        <f>285*E12</f>
        <v>50975.609756097561</v>
      </c>
      <c r="I12" s="16">
        <f>170*E12</f>
        <v>30406.504065040652</v>
      </c>
      <c r="J12" s="16">
        <f>545*E12</f>
        <v>97479.674796747975</v>
      </c>
      <c r="K12" s="16">
        <f>610*E12</f>
        <v>109105.69105691058</v>
      </c>
      <c r="L12" s="16"/>
      <c r="M12" s="47">
        <f t="shared" si="0"/>
        <v>405121.95121951215</v>
      </c>
    </row>
    <row r="13" spans="1:14" s="17" customFormat="1" ht="27" customHeight="1" x14ac:dyDescent="0.3">
      <c r="A13" s="7" t="s">
        <v>27</v>
      </c>
      <c r="B13" s="14" t="s">
        <v>7</v>
      </c>
      <c r="C13" s="7"/>
      <c r="D13" s="15"/>
      <c r="E13" s="16"/>
      <c r="F13" s="16">
        <f>SUM(F14:F17)</f>
        <v>1312459</v>
      </c>
      <c r="G13" s="16"/>
      <c r="H13" s="16"/>
      <c r="I13" s="16"/>
      <c r="J13" s="16"/>
      <c r="K13" s="16"/>
      <c r="L13" s="16"/>
      <c r="M13" s="16"/>
    </row>
    <row r="14" spans="1:14" s="22" customFormat="1" ht="33" customHeight="1" x14ac:dyDescent="0.3">
      <c r="A14" s="18" t="s">
        <v>32</v>
      </c>
      <c r="B14" s="23" t="s">
        <v>29</v>
      </c>
      <c r="C14" s="18" t="s">
        <v>30</v>
      </c>
      <c r="D14" s="20">
        <v>537</v>
      </c>
      <c r="E14" s="21">
        <f>F14/D14</f>
        <v>611.45251396648041</v>
      </c>
      <c r="F14" s="21">
        <v>328350</v>
      </c>
      <c r="G14" s="21">
        <f>F14</f>
        <v>328350</v>
      </c>
      <c r="H14" s="21">
        <v>0</v>
      </c>
      <c r="I14" s="21">
        <v>0</v>
      </c>
      <c r="J14" s="21">
        <v>0</v>
      </c>
      <c r="K14" s="21">
        <v>0</v>
      </c>
      <c r="L14" s="21"/>
      <c r="M14" s="21">
        <f>SUM(G14:L14)</f>
        <v>328350</v>
      </c>
    </row>
    <row r="15" spans="1:14" s="22" customFormat="1" ht="34.5" customHeight="1" x14ac:dyDescent="0.3">
      <c r="A15" s="18" t="s">
        <v>33</v>
      </c>
      <c r="B15" s="23" t="s">
        <v>31</v>
      </c>
      <c r="C15" s="18" t="s">
        <v>30</v>
      </c>
      <c r="D15" s="20">
        <v>198</v>
      </c>
      <c r="E15" s="21">
        <f>F15/D15</f>
        <v>776.66666666666663</v>
      </c>
      <c r="F15" s="21">
        <v>153780</v>
      </c>
      <c r="G15" s="21">
        <f>F15</f>
        <v>153780</v>
      </c>
      <c r="H15" s="21">
        <v>0</v>
      </c>
      <c r="I15" s="21">
        <v>0</v>
      </c>
      <c r="J15" s="21">
        <v>0</v>
      </c>
      <c r="K15" s="21">
        <v>0</v>
      </c>
      <c r="L15" s="21"/>
      <c r="M15" s="21">
        <f>SUM(G15:L15)</f>
        <v>153780</v>
      </c>
      <c r="N15" s="22" t="s">
        <v>47</v>
      </c>
    </row>
    <row r="16" spans="1:14" s="22" customFormat="1" ht="20.25" customHeight="1" x14ac:dyDescent="0.3">
      <c r="A16" s="18" t="s">
        <v>34</v>
      </c>
      <c r="B16" s="19" t="s">
        <v>8</v>
      </c>
      <c r="C16" s="18" t="s">
        <v>30</v>
      </c>
      <c r="D16" s="20">
        <v>2150</v>
      </c>
      <c r="E16" s="21">
        <f>F16/D16</f>
        <v>231</v>
      </c>
      <c r="F16" s="21">
        <v>496650</v>
      </c>
      <c r="G16" s="21">
        <f>800*E16</f>
        <v>184800</v>
      </c>
      <c r="H16" s="21">
        <f>300*E16</f>
        <v>69300</v>
      </c>
      <c r="I16" s="21">
        <f>250*E16</f>
        <v>57750</v>
      </c>
      <c r="J16" s="21">
        <f>300*E16</f>
        <v>69300</v>
      </c>
      <c r="K16" s="21">
        <f>500*E16</f>
        <v>115500</v>
      </c>
      <c r="L16" s="21"/>
      <c r="M16" s="46">
        <f>SUM(G16:L16)</f>
        <v>496650</v>
      </c>
      <c r="N16" s="22" t="s">
        <v>47</v>
      </c>
    </row>
    <row r="17" spans="1:13" s="22" customFormat="1" ht="20.25" customHeight="1" x14ac:dyDescent="0.3">
      <c r="A17" s="18" t="s">
        <v>35</v>
      </c>
      <c r="B17" s="19" t="s">
        <v>28</v>
      </c>
      <c r="C17" s="18" t="s">
        <v>30</v>
      </c>
      <c r="D17" s="24">
        <v>2247</v>
      </c>
      <c r="E17" s="21">
        <f>F17/D17</f>
        <v>148.49977748108589</v>
      </c>
      <c r="F17" s="21">
        <v>333679</v>
      </c>
      <c r="G17" s="21">
        <f>800*E17</f>
        <v>118799.82198486871</v>
      </c>
      <c r="H17" s="21">
        <f>300*E17</f>
        <v>44549.933244325766</v>
      </c>
      <c r="I17" s="21">
        <f>240*E17</f>
        <v>35639.946595460613</v>
      </c>
      <c r="J17" s="21">
        <f>300*E17</f>
        <v>44549.933244325766</v>
      </c>
      <c r="K17" s="21">
        <f>607*E17</f>
        <v>90139.364931019139</v>
      </c>
      <c r="L17" s="21"/>
      <c r="M17" s="46">
        <f>SUM(G17:L17)</f>
        <v>333679</v>
      </c>
    </row>
    <row r="18" spans="1:13" s="25" customFormat="1" ht="35.25" customHeight="1" thickBot="1" x14ac:dyDescent="0.35">
      <c r="A18" s="80" t="s">
        <v>13</v>
      </c>
      <c r="B18" s="81"/>
      <c r="C18" s="81"/>
      <c r="D18" s="81"/>
      <c r="E18" s="82"/>
      <c r="F18" s="49">
        <f>F4+F9+F10+F11+F12+F13</f>
        <v>13336265.99105691</v>
      </c>
      <c r="G18" s="38">
        <f>SUM(G5:G17)</f>
        <v>4996362.3695458435</v>
      </c>
      <c r="H18" s="38">
        <f>SUM(H5:H17)</f>
        <v>1587528.7125126186</v>
      </c>
      <c r="I18" s="38">
        <f>SUM(I5:I17)</f>
        <v>1301228.5368393632</v>
      </c>
      <c r="J18" s="35">
        <f>SUM(J5:J17)</f>
        <v>1563649.5673906673</v>
      </c>
      <c r="K18" s="35">
        <f>SUM(K5:K17)</f>
        <v>3072223.3742806125</v>
      </c>
      <c r="L18" s="35"/>
      <c r="M18" s="38"/>
    </row>
    <row r="19" spans="1:13" s="25" customFormat="1" ht="19.2" customHeight="1" thickBot="1" x14ac:dyDescent="0.35">
      <c r="A19" s="37"/>
      <c r="B19" s="39" t="s">
        <v>51</v>
      </c>
      <c r="C19" s="40"/>
      <c r="D19" s="39"/>
      <c r="E19" s="41"/>
      <c r="F19" s="42"/>
      <c r="G19" s="42"/>
      <c r="H19" s="43">
        <f>H18+G18</f>
        <v>6583891.0820584623</v>
      </c>
      <c r="I19" s="52"/>
      <c r="J19" s="51">
        <f>J18+I18</f>
        <v>2864878.1042300304</v>
      </c>
      <c r="K19" s="45">
        <f>K18</f>
        <v>3072223.3742806125</v>
      </c>
      <c r="L19" s="53">
        <f>SUM(L5:L18)</f>
        <v>815273.43048780493</v>
      </c>
      <c r="M19" s="54">
        <f>SUM(M5:M18)</f>
        <v>13336265.99105691</v>
      </c>
    </row>
    <row r="20" spans="1:13" ht="19.95" customHeight="1" x14ac:dyDescent="0.25">
      <c r="A20" s="32" t="s">
        <v>37</v>
      </c>
      <c r="B20" s="27" t="s">
        <v>38</v>
      </c>
      <c r="C20" s="83"/>
      <c r="D20" s="84"/>
      <c r="E20" s="85"/>
      <c r="F20" s="31">
        <v>450000</v>
      </c>
      <c r="G20" s="31"/>
      <c r="H20" s="31">
        <f>F20</f>
        <v>450000</v>
      </c>
      <c r="I20" s="31"/>
      <c r="J20" s="44"/>
      <c r="K20" s="28"/>
      <c r="L20" s="28"/>
      <c r="M20" s="31"/>
    </row>
    <row r="21" spans="1:13" ht="20.399999999999999" customHeight="1" x14ac:dyDescent="0.25">
      <c r="A21" s="33" t="s">
        <v>39</v>
      </c>
      <c r="B21" s="29" t="s">
        <v>40</v>
      </c>
      <c r="C21" s="86"/>
      <c r="D21" s="87"/>
      <c r="E21" s="88"/>
      <c r="F21" s="30">
        <v>100000</v>
      </c>
      <c r="G21" s="30"/>
      <c r="H21" s="30">
        <f>F21*40/100</f>
        <v>40000</v>
      </c>
      <c r="I21" s="30"/>
      <c r="J21" s="30">
        <f>F21*30/100</f>
        <v>30000</v>
      </c>
      <c r="K21" s="30">
        <f>F21*30/100</f>
        <v>30000</v>
      </c>
      <c r="L21" s="30"/>
      <c r="M21" s="30"/>
    </row>
    <row r="22" spans="1:13" ht="21" customHeight="1" x14ac:dyDescent="0.25">
      <c r="A22" s="34" t="s">
        <v>41</v>
      </c>
      <c r="B22" s="27" t="s">
        <v>42</v>
      </c>
      <c r="C22" s="86"/>
      <c r="D22" s="89"/>
      <c r="E22" s="90"/>
      <c r="F22" s="31">
        <v>100000</v>
      </c>
      <c r="G22" s="31"/>
      <c r="H22" s="31">
        <f>F22*40/100</f>
        <v>40000</v>
      </c>
      <c r="I22" s="31"/>
      <c r="J22" s="31">
        <f>F22*40/100</f>
        <v>40000</v>
      </c>
      <c r="K22" s="31">
        <f>F22*20/100</f>
        <v>20000</v>
      </c>
      <c r="L22" s="31"/>
      <c r="M22" s="31"/>
    </row>
    <row r="23" spans="1:13" ht="19.2" customHeight="1" x14ac:dyDescent="0.25">
      <c r="A23" s="33" t="s">
        <v>43</v>
      </c>
      <c r="B23" s="29" t="s">
        <v>44</v>
      </c>
      <c r="C23" s="86"/>
      <c r="D23" s="89"/>
      <c r="E23" s="90"/>
      <c r="F23" s="30">
        <v>70000</v>
      </c>
      <c r="G23" s="30"/>
      <c r="H23" s="30"/>
      <c r="I23" s="30"/>
      <c r="J23" s="30"/>
      <c r="K23" s="30">
        <f>F23</f>
        <v>70000</v>
      </c>
      <c r="L23" s="30"/>
      <c r="M23" s="30"/>
    </row>
    <row r="24" spans="1:13" ht="21.6" customHeight="1" x14ac:dyDescent="0.25">
      <c r="A24" s="33" t="s">
        <v>45</v>
      </c>
      <c r="B24" s="29" t="s">
        <v>46</v>
      </c>
      <c r="C24" s="86"/>
      <c r="D24" s="89"/>
      <c r="E24" s="90"/>
      <c r="F24" s="30">
        <v>50000</v>
      </c>
      <c r="G24" s="30"/>
      <c r="H24" s="30">
        <f>F24</f>
        <v>50000</v>
      </c>
      <c r="I24" s="30"/>
      <c r="J24" s="30"/>
      <c r="K24" s="30"/>
      <c r="L24" s="30"/>
      <c r="M24" s="30"/>
    </row>
    <row r="25" spans="1:13" ht="30.6" customHeight="1" x14ac:dyDescent="0.25">
      <c r="A25" s="80" t="s">
        <v>48</v>
      </c>
      <c r="B25" s="91"/>
      <c r="C25" s="91"/>
      <c r="D25" s="91"/>
      <c r="E25" s="92"/>
      <c r="F25" s="50">
        <f>SUM(F18:F24)</f>
        <v>14106265.99105691</v>
      </c>
      <c r="G25" s="36"/>
      <c r="H25" s="26">
        <f>SUM(H19:H24)</f>
        <v>7163891.0820584623</v>
      </c>
      <c r="I25" s="36"/>
      <c r="J25" s="55">
        <f>SUM(J19:J24)</f>
        <v>2934878.1042300304</v>
      </c>
      <c r="K25" s="56">
        <f>SUM(K19:K24)</f>
        <v>3192223.3742806125</v>
      </c>
      <c r="L25" s="57">
        <f>SUM(L19:L24)</f>
        <v>815273.43048780493</v>
      </c>
      <c r="M25" s="50">
        <f>SUM(H25:L25)</f>
        <v>14106265.99105691</v>
      </c>
    </row>
    <row r="26" spans="1:13" x14ac:dyDescent="0.25">
      <c r="D26" s="73"/>
      <c r="E26" s="73"/>
    </row>
    <row r="27" spans="1:13" ht="14.4" thickBot="1" x14ac:dyDescent="0.3">
      <c r="D27" s="74"/>
      <c r="E27" s="74"/>
      <c r="H27" s="58">
        <f>H25/F25</f>
        <v>0.5078516941762069</v>
      </c>
      <c r="J27" s="58">
        <f>J25/F25</f>
        <v>0.20805492439251355</v>
      </c>
      <c r="K27" s="58">
        <f>K25/F25</f>
        <v>0.22629825471208456</v>
      </c>
      <c r="L27" s="58">
        <f>L25/F25</f>
        <v>5.7795126719194997E-2</v>
      </c>
      <c r="M27" s="59">
        <f>SUM(H27:L27)</f>
        <v>0.99999999999999989</v>
      </c>
    </row>
    <row r="28" spans="1:13" ht="31.8" thickBot="1" x14ac:dyDescent="0.35">
      <c r="D28" s="73"/>
      <c r="E28" s="73"/>
      <c r="J28" s="70" t="s">
        <v>64</v>
      </c>
      <c r="K28" s="71">
        <f>M25-L25</f>
        <v>13290992.560569106</v>
      </c>
    </row>
    <row r="29" spans="1:13" x14ac:dyDescent="0.25">
      <c r="D29" s="74"/>
      <c r="E29" s="74"/>
    </row>
    <row r="30" spans="1:13" ht="15.6" x14ac:dyDescent="0.3">
      <c r="B30" s="72"/>
      <c r="D30" s="73"/>
      <c r="E30" s="73"/>
    </row>
    <row r="31" spans="1:13" x14ac:dyDescent="0.25">
      <c r="D31" s="74"/>
      <c r="E31" s="74"/>
    </row>
    <row r="32" spans="1:13" x14ac:dyDescent="0.25">
      <c r="D32" s="73"/>
      <c r="E32" s="73"/>
    </row>
  </sheetData>
  <mergeCells count="16">
    <mergeCell ref="A1:M1"/>
    <mergeCell ref="D26:E26"/>
    <mergeCell ref="D27:E27"/>
    <mergeCell ref="A2:F2"/>
    <mergeCell ref="A18:E18"/>
    <mergeCell ref="C20:E20"/>
    <mergeCell ref="C21:E21"/>
    <mergeCell ref="C22:E22"/>
    <mergeCell ref="C23:E23"/>
    <mergeCell ref="C24:E24"/>
    <mergeCell ref="A25:E25"/>
    <mergeCell ref="D28:E28"/>
    <mergeCell ref="D29:E29"/>
    <mergeCell ref="D30:E30"/>
    <mergeCell ref="D31:E31"/>
    <mergeCell ref="D32:E3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ZZK</vt:lpstr>
      <vt:lpstr>Arkusz1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</dc:creator>
  <cp:lastModifiedBy>W.Piontek</cp:lastModifiedBy>
  <cp:lastPrinted>2017-03-15T13:34:01Z</cp:lastPrinted>
  <dcterms:created xsi:type="dcterms:W3CDTF">2017-02-26T20:27:42Z</dcterms:created>
  <dcterms:modified xsi:type="dcterms:W3CDTF">2017-03-15T13:49:03Z</dcterms:modified>
</cp:coreProperties>
</file>